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85" windowHeight="11010" activeTab="0"/>
  </bookViews>
  <sheets>
    <sheet name="SMD" sheetId="1" r:id="rId1"/>
  </sheets>
  <definedNames>
    <definedName name="cnom">'SMD'!$E$28</definedName>
    <definedName name="cnomDD">'SMD'!$E$28</definedName>
  </definedNames>
  <calcPr fullCalcOnLoad="1"/>
</workbook>
</file>

<file path=xl/sharedStrings.xml><?xml version="1.0" encoding="utf-8"?>
<sst xmlns="http://schemas.openxmlformats.org/spreadsheetml/2006/main" count="94" uniqueCount="78">
  <si>
    <t>Heel Goal</t>
  </si>
  <si>
    <t>Side Goal</t>
  </si>
  <si>
    <t>Y =</t>
  </si>
  <si>
    <t>C =</t>
  </si>
  <si>
    <t>X =</t>
  </si>
  <si>
    <t>Toe Tol =</t>
  </si>
  <si>
    <t>Zmax =</t>
  </si>
  <si>
    <t>Heel Tol =</t>
  </si>
  <si>
    <t>Gmin =</t>
  </si>
  <si>
    <t>Side Tol =</t>
  </si>
  <si>
    <t>Smax =</t>
  </si>
  <si>
    <t>Smin =</t>
  </si>
  <si>
    <t>Toe Min =</t>
  </si>
  <si>
    <t>Toe Max =</t>
  </si>
  <si>
    <t>Heel Min =</t>
  </si>
  <si>
    <t>Heel Max =</t>
  </si>
  <si>
    <t>Side Min =</t>
  </si>
  <si>
    <t>Side Max =</t>
  </si>
  <si>
    <t>New Smax =</t>
  </si>
  <si>
    <t>New Smin =</t>
  </si>
  <si>
    <t>Yref =</t>
  </si>
  <si>
    <t>Stol =</t>
  </si>
  <si>
    <t>Sdiff =</t>
  </si>
  <si>
    <t>Toe Goal</t>
  </si>
  <si>
    <t>Calculation:</t>
  </si>
  <si>
    <t>Result:</t>
  </si>
  <si>
    <t>Place Rnd</t>
  </si>
  <si>
    <t>Size Rnd</t>
  </si>
  <si>
    <t>Enter Data:</t>
  </si>
  <si>
    <t>Ltol =</t>
  </si>
  <si>
    <t>btol =</t>
  </si>
  <si>
    <r>
      <t>L</t>
    </r>
    <r>
      <rPr>
        <b/>
        <sz val="9"/>
        <rFont val="Arial"/>
        <family val="2"/>
      </rPr>
      <t>min</t>
    </r>
  </si>
  <si>
    <r>
      <t>L</t>
    </r>
    <r>
      <rPr>
        <b/>
        <sz val="9"/>
        <rFont val="Arial"/>
        <family val="2"/>
      </rPr>
      <t>max</t>
    </r>
  </si>
  <si>
    <r>
      <t>b</t>
    </r>
    <r>
      <rPr>
        <b/>
        <sz val="8"/>
        <rFont val="Arial"/>
        <family val="2"/>
      </rPr>
      <t>min</t>
    </r>
  </si>
  <si>
    <r>
      <t>b</t>
    </r>
    <r>
      <rPr>
        <b/>
        <sz val="8"/>
        <rFont val="Arial"/>
        <family val="2"/>
      </rPr>
      <t>max</t>
    </r>
  </si>
  <si>
    <t>Emin</t>
  </si>
  <si>
    <r>
      <t>E</t>
    </r>
    <r>
      <rPr>
        <b/>
        <sz val="9"/>
        <rFont val="Arial"/>
        <family val="2"/>
      </rPr>
      <t>max</t>
    </r>
  </si>
  <si>
    <t>Etol =</t>
  </si>
  <si>
    <t>Toe Goal (%)</t>
  </si>
  <si>
    <t>Heel Goal (%)</t>
  </si>
  <si>
    <t>Side Goal (%)</t>
  </si>
  <si>
    <t>© 2012 - 2016 PCB Libraries, Inc.</t>
  </si>
  <si>
    <t>Place Round Factor =</t>
  </si>
  <si>
    <t>Size Round Factor =</t>
  </si>
  <si>
    <t>Stol (RMS) =</t>
  </si>
  <si>
    <t>Toe Goal =</t>
  </si>
  <si>
    <t>Heel Goal =</t>
  </si>
  <si>
    <t>Side Goal =</t>
  </si>
  <si>
    <t>Enom =</t>
  </si>
  <si>
    <t>Lnom =</t>
  </si>
  <si>
    <t>bnom =</t>
  </si>
  <si>
    <t>Samples</t>
  </si>
  <si>
    <t>Rectangular End Cap</t>
  </si>
  <si>
    <t>C+X -Lmax/2</t>
  </si>
  <si>
    <t>Toe Min + Toe Tol/2</t>
  </si>
  <si>
    <t>C/2 =</t>
  </si>
  <si>
    <t>Z =</t>
  </si>
  <si>
    <t>G =</t>
  </si>
  <si>
    <t>Gull Wing Examples</t>
  </si>
  <si>
    <t>Goals are a percentage of cnom</t>
  </si>
  <si>
    <t>Risk observation</t>
  </si>
  <si>
    <t>Goal Determination</t>
  </si>
  <si>
    <t>cnom =</t>
  </si>
  <si>
    <t>cnom = Terminal  Thickness or Height</t>
  </si>
  <si>
    <t xml:space="preserve">e (pitch) = </t>
  </si>
  <si>
    <t>Inward L</t>
  </si>
  <si>
    <t>Cylindrical</t>
  </si>
  <si>
    <t>Flat Protruded</t>
  </si>
  <si>
    <t>Castellated</t>
  </si>
  <si>
    <t>* if Y &lt; pitch/2
Y= pitch/2</t>
  </si>
  <si>
    <t>max. 0.5mm</t>
  </si>
  <si>
    <t>Current Sample</t>
  </si>
  <si>
    <t>Fab Tol +/-</t>
  </si>
  <si>
    <t>Place Tol +/-</t>
  </si>
  <si>
    <t>Version 1.3  (Mai 2018)</t>
  </si>
  <si>
    <t>R0402 - M1005</t>
  </si>
  <si>
    <t>Vishay CRCW0402100KFKED</t>
  </si>
  <si>
    <t>modified 29.06.2018/R. Taube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</si>
</sst>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"/>
    <numFmt numFmtId="174" formatCode="0.0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2"/>
    </font>
    <font>
      <sz val="10"/>
      <color indexed="55"/>
      <name val="Arial"/>
      <family val="2"/>
    </font>
    <font>
      <sz val="11"/>
      <name val="Calibri"/>
      <family val="2"/>
    </font>
    <font>
      <b/>
      <sz val="10"/>
      <color indexed="3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24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i/>
      <sz val="10"/>
      <color rgb="FFFF0000"/>
      <name val="Arial"/>
      <family val="2"/>
    </font>
    <font>
      <sz val="10"/>
      <color theme="0" tint="-0.3499799966812134"/>
      <name val="Arial"/>
      <family val="2"/>
    </font>
    <font>
      <b/>
      <sz val="10"/>
      <color rgb="FF0070C0"/>
      <name val="Arial"/>
      <family val="2"/>
    </font>
    <font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8CD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49" fillId="0" borderId="0" xfId="0" applyFont="1" applyAlignment="1">
      <alignment horizontal="left"/>
    </xf>
    <xf numFmtId="2" fontId="0" fillId="0" borderId="0" xfId="0" applyNumberFormat="1" applyFill="1" applyBorder="1" applyAlignment="1">
      <alignment horizontal="center"/>
    </xf>
    <xf numFmtId="2" fontId="0" fillId="0" borderId="12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7" xfId="0" applyFill="1" applyBorder="1" applyAlignment="1">
      <alignment horizontal="right"/>
    </xf>
    <xf numFmtId="2" fontId="0" fillId="34" borderId="12" xfId="0" applyNumberFormat="1" applyFill="1" applyBorder="1" applyAlignment="1">
      <alignment horizontal="center"/>
    </xf>
    <xf numFmtId="0" fontId="0" fillId="34" borderId="18" xfId="0" applyFill="1" applyBorder="1" applyAlignment="1">
      <alignment horizontal="right"/>
    </xf>
    <xf numFmtId="2" fontId="0" fillId="34" borderId="10" xfId="0" applyNumberFormat="1" applyFill="1" applyBorder="1" applyAlignment="1">
      <alignment horizontal="center"/>
    </xf>
    <xf numFmtId="0" fontId="0" fillId="34" borderId="19" xfId="0" applyFill="1" applyBorder="1" applyAlignment="1">
      <alignment horizontal="right"/>
    </xf>
    <xf numFmtId="2" fontId="0" fillId="34" borderId="11" xfId="0" applyNumberFormat="1" applyFill="1" applyBorder="1" applyAlignment="1">
      <alignment horizontal="center"/>
    </xf>
    <xf numFmtId="0" fontId="0" fillId="34" borderId="17" xfId="0" applyFont="1" applyFill="1" applyBorder="1" applyAlignment="1">
      <alignment horizontal="right"/>
    </xf>
    <xf numFmtId="172" fontId="0" fillId="34" borderId="12" xfId="0" applyNumberFormat="1" applyFill="1" applyBorder="1" applyAlignment="1">
      <alignment horizontal="center"/>
    </xf>
    <xf numFmtId="0" fontId="0" fillId="34" borderId="18" xfId="0" applyFont="1" applyFill="1" applyBorder="1" applyAlignment="1">
      <alignment horizontal="right"/>
    </xf>
    <xf numFmtId="172" fontId="0" fillId="34" borderId="10" xfId="0" applyNumberFormat="1" applyFill="1" applyBorder="1" applyAlignment="1">
      <alignment horizontal="center"/>
    </xf>
    <xf numFmtId="0" fontId="0" fillId="34" borderId="19" xfId="0" applyFont="1" applyFill="1" applyBorder="1" applyAlignment="1">
      <alignment horizontal="right"/>
    </xf>
    <xf numFmtId="172" fontId="0" fillId="34" borderId="11" xfId="0" applyNumberFormat="1" applyFill="1" applyBorder="1" applyAlignment="1">
      <alignment horizontal="center"/>
    </xf>
    <xf numFmtId="2" fontId="0" fillId="34" borderId="20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23" xfId="0" applyFill="1" applyBorder="1" applyAlignment="1">
      <alignment horizontal="center"/>
    </xf>
    <xf numFmtId="0" fontId="0" fillId="33" borderId="16" xfId="0" applyFont="1" applyFill="1" applyBorder="1" applyAlignment="1">
      <alignment horizontal="right"/>
    </xf>
    <xf numFmtId="0" fontId="50" fillId="0" borderId="0" xfId="0" applyFont="1" applyAlignment="1">
      <alignment/>
    </xf>
    <xf numFmtId="0" fontId="0" fillId="33" borderId="24" xfId="0" applyFill="1" applyBorder="1" applyAlignment="1">
      <alignment/>
    </xf>
    <xf numFmtId="2" fontId="0" fillId="34" borderId="12" xfId="0" applyNumberFormat="1" applyFill="1" applyBorder="1" applyAlignment="1" applyProtection="1">
      <alignment horizontal="center"/>
      <protection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0" xfId="0" applyAlignment="1">
      <alignment vertical="top"/>
    </xf>
    <xf numFmtId="2" fontId="0" fillId="0" borderId="0" xfId="0" applyNumberFormat="1" applyAlignment="1">
      <alignment vertical="top"/>
    </xf>
    <xf numFmtId="0" fontId="5" fillId="0" borderId="0" xfId="0" applyFont="1" applyAlignment="1">
      <alignment vertical="top"/>
    </xf>
    <xf numFmtId="0" fontId="1" fillId="34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top"/>
    </xf>
    <xf numFmtId="0" fontId="0" fillId="33" borderId="25" xfId="0" applyFill="1" applyBorder="1" applyAlignment="1">
      <alignment vertical="top"/>
    </xf>
    <xf numFmtId="0" fontId="1" fillId="34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35" borderId="17" xfId="0" applyFill="1" applyBorder="1" applyAlignment="1">
      <alignment horizontal="right"/>
    </xf>
    <xf numFmtId="2" fontId="0" fillId="35" borderId="12" xfId="0" applyNumberFormat="1" applyFill="1" applyBorder="1" applyAlignment="1">
      <alignment horizontal="center"/>
    </xf>
    <xf numFmtId="0" fontId="0" fillId="35" borderId="18" xfId="0" applyFill="1" applyBorder="1" applyAlignment="1">
      <alignment horizontal="right"/>
    </xf>
    <xf numFmtId="2" fontId="0" fillId="35" borderId="10" xfId="0" applyNumberFormat="1" applyFill="1" applyBorder="1" applyAlignment="1">
      <alignment horizontal="center"/>
    </xf>
    <xf numFmtId="0" fontId="0" fillId="35" borderId="19" xfId="0" applyFill="1" applyBorder="1" applyAlignment="1">
      <alignment horizontal="right"/>
    </xf>
    <xf numFmtId="2" fontId="0" fillId="35" borderId="11" xfId="0" applyNumberForma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right"/>
    </xf>
    <xf numFmtId="173" fontId="0" fillId="35" borderId="11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Fill="1" applyBorder="1" applyAlignment="1">
      <alignment horizontal="right"/>
    </xf>
    <xf numFmtId="2" fontId="0" fillId="0" borderId="22" xfId="0" applyNumberFormat="1" applyFill="1" applyBorder="1" applyAlignment="1">
      <alignment horizontal="center"/>
    </xf>
    <xf numFmtId="0" fontId="0" fillId="34" borderId="17" xfId="0" applyFont="1" applyFill="1" applyBorder="1" applyAlignment="1">
      <alignment horizontal="center"/>
    </xf>
    <xf numFmtId="0" fontId="0" fillId="34" borderId="18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2" fontId="0" fillId="35" borderId="29" xfId="0" applyNumberFormat="1" applyFill="1" applyBorder="1" applyAlignment="1">
      <alignment horizontal="center"/>
    </xf>
    <xf numFmtId="2" fontId="0" fillId="35" borderId="30" xfId="0" applyNumberFormat="1" applyFill="1" applyBorder="1" applyAlignment="1">
      <alignment horizontal="center"/>
    </xf>
    <xf numFmtId="2" fontId="0" fillId="35" borderId="31" xfId="0" applyNumberFormat="1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2" fontId="0" fillId="34" borderId="10" xfId="0" applyNumberFormat="1" applyFill="1" applyBorder="1" applyAlignment="1" applyProtection="1">
      <alignment horizontal="center"/>
      <protection/>
    </xf>
    <xf numFmtId="0" fontId="0" fillId="34" borderId="11" xfId="0" applyFill="1" applyBorder="1" applyAlignment="1">
      <alignment horizontal="center" wrapText="1"/>
    </xf>
    <xf numFmtId="0" fontId="0" fillId="34" borderId="19" xfId="0" applyFont="1" applyFill="1" applyBorder="1" applyAlignment="1">
      <alignment horizontal="right" wrapText="1"/>
    </xf>
    <xf numFmtId="173" fontId="39" fillId="28" borderId="12" xfId="46" applyNumberFormat="1" applyBorder="1" applyAlignment="1">
      <alignment horizontal="center"/>
    </xf>
    <xf numFmtId="173" fontId="39" fillId="28" borderId="10" xfId="46" applyNumberFormat="1" applyBorder="1" applyAlignment="1">
      <alignment horizontal="center"/>
    </xf>
    <xf numFmtId="173" fontId="27" fillId="28" borderId="12" xfId="46" applyNumberFormat="1" applyFont="1" applyBorder="1" applyAlignment="1">
      <alignment horizontal="center"/>
    </xf>
    <xf numFmtId="173" fontId="0" fillId="35" borderId="11" xfId="0" applyNumberFormat="1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49" fontId="51" fillId="2" borderId="32" xfId="0" applyNumberFormat="1" applyFont="1" applyFill="1" applyBorder="1" applyAlignment="1">
      <alignment horizontal="center" vertical="top"/>
    </xf>
    <xf numFmtId="49" fontId="51" fillId="2" borderId="26" xfId="0" applyNumberFormat="1" applyFont="1" applyFill="1" applyBorder="1" applyAlignment="1">
      <alignment horizontal="center" vertical="top"/>
    </xf>
    <xf numFmtId="173" fontId="27" fillId="28" borderId="10" xfId="46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right"/>
    </xf>
    <xf numFmtId="173" fontId="0" fillId="0" borderId="12" xfId="0" applyNumberFormat="1" applyFill="1" applyBorder="1" applyAlignment="1" applyProtection="1">
      <alignment horizontal="center"/>
      <protection locked="0"/>
    </xf>
    <xf numFmtId="0" fontId="1" fillId="34" borderId="19" xfId="0" applyFont="1" applyFill="1" applyBorder="1" applyAlignment="1">
      <alignment horizontal="right"/>
    </xf>
    <xf numFmtId="173" fontId="0" fillId="0" borderId="11" xfId="0" applyNumberForma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5" xfId="0" applyFont="1" applyFill="1" applyBorder="1" applyAlignment="1">
      <alignment horizontal="right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ont="1" applyFill="1" applyBorder="1" applyAlignment="1">
      <alignment horizontal="right"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34" borderId="33" xfId="0" applyFont="1" applyFill="1" applyBorder="1" applyAlignment="1">
      <alignment/>
    </xf>
    <xf numFmtId="0" fontId="1" fillId="34" borderId="34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52" fillId="36" borderId="0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hyperlink" Target="http://www.pcblibraries.com/" TargetMode="External" /><Relationship Id="rId5" Type="http://schemas.openxmlformats.org/officeDocument/2006/relationships/hyperlink" Target="http://www.pcblibraries.com/" TargetMode="External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hyperlink" Target="http://www.ipc.org/ContentPage.aspx?pageid=Land-Pattern-Calculator" TargetMode="External" /><Relationship Id="rId10" Type="http://schemas.openxmlformats.org/officeDocument/2006/relationships/hyperlink" Target="http://www.ipc.org/ContentPage.aspx?pageid=Land-Pattern-Calculator" TargetMode="External" /><Relationship Id="rId11" Type="http://schemas.openxmlformats.org/officeDocument/2006/relationships/image" Target="../media/image7.png" /><Relationship Id="rId12" Type="http://schemas.openxmlformats.org/officeDocument/2006/relationships/image" Target="../media/image8.jpeg" /><Relationship Id="rId13" Type="http://schemas.openxmlformats.org/officeDocument/2006/relationships/image" Target="../media/image9.jpeg" /><Relationship Id="rId14" Type="http://schemas.openxmlformats.org/officeDocument/2006/relationships/image" Target="../media/image10.jpeg" /><Relationship Id="rId15" Type="http://schemas.openxmlformats.org/officeDocument/2006/relationships/image" Target="../media/image11.png" /><Relationship Id="rId16" Type="http://schemas.openxmlformats.org/officeDocument/2006/relationships/image" Target="../media/image12.png" /><Relationship Id="rId17" Type="http://schemas.openxmlformats.org/officeDocument/2006/relationships/image" Target="../media/image13.png" /><Relationship Id="rId18" Type="http://schemas.openxmlformats.org/officeDocument/2006/relationships/image" Target="../media/image14.png" /><Relationship Id="rId19" Type="http://schemas.openxmlformats.org/officeDocument/2006/relationships/image" Target="../media/image15.png" /><Relationship Id="rId20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238125</xdr:colOff>
      <xdr:row>3</xdr:row>
      <xdr:rowOff>19050</xdr:rowOff>
    </xdr:from>
    <xdr:to>
      <xdr:col>13</xdr:col>
      <xdr:colOff>342900</xdr:colOff>
      <xdr:row>6</xdr:row>
      <xdr:rowOff>85725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rcRect t="11999" b="16000"/>
        <a:stretch>
          <a:fillRect/>
        </a:stretch>
      </xdr:blipFill>
      <xdr:spPr>
        <a:xfrm>
          <a:off x="7410450" y="5143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466725</xdr:colOff>
      <xdr:row>3</xdr:row>
      <xdr:rowOff>19050</xdr:rowOff>
    </xdr:from>
    <xdr:to>
      <xdr:col>19</xdr:col>
      <xdr:colOff>428625</xdr:colOff>
      <xdr:row>6</xdr:row>
      <xdr:rowOff>85725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t="17999" b="10000"/>
        <a:stretch>
          <a:fillRect/>
        </a:stretch>
      </xdr:blipFill>
      <xdr:spPr>
        <a:xfrm>
          <a:off x="10401300" y="514350"/>
          <a:ext cx="952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33</xdr:row>
      <xdr:rowOff>161925</xdr:rowOff>
    </xdr:from>
    <xdr:to>
      <xdr:col>6</xdr:col>
      <xdr:colOff>400050</xdr:colOff>
      <xdr:row>37</xdr:row>
      <xdr:rowOff>104775</xdr:rowOff>
    </xdr:to>
    <xdr:pic>
      <xdr:nvPicPr>
        <xdr:cNvPr id="3" name="Picture 7" descr="PCBL Logo 40.jpg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5981700"/>
          <a:ext cx="197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2</xdr:row>
      <xdr:rowOff>66675</xdr:rowOff>
    </xdr:from>
    <xdr:to>
      <xdr:col>6</xdr:col>
      <xdr:colOff>790575</xdr:colOff>
      <xdr:row>6</xdr:row>
      <xdr:rowOff>57150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400050"/>
          <a:ext cx="828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495300</xdr:colOff>
      <xdr:row>19</xdr:row>
      <xdr:rowOff>38100</xdr:rowOff>
    </xdr:from>
    <xdr:to>
      <xdr:col>14</xdr:col>
      <xdr:colOff>76200</xdr:colOff>
      <xdr:row>21</xdr:row>
      <xdr:rowOff>85725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505200" y="3257550"/>
          <a:ext cx="52006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933450</xdr:colOff>
      <xdr:row>0</xdr:row>
      <xdr:rowOff>104775</xdr:rowOff>
    </xdr:from>
    <xdr:to>
      <xdr:col>9</xdr:col>
      <xdr:colOff>371475</xdr:colOff>
      <xdr:row>3</xdr:row>
      <xdr:rowOff>95250</xdr:rowOff>
    </xdr:to>
    <xdr:pic>
      <xdr:nvPicPr>
        <xdr:cNvPr id="6" name="Picture 1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43450" y="104775"/>
          <a:ext cx="1133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352425</xdr:colOff>
      <xdr:row>0</xdr:row>
      <xdr:rowOff>95250</xdr:rowOff>
    </xdr:from>
    <xdr:to>
      <xdr:col>18</xdr:col>
      <xdr:colOff>914400</xdr:colOff>
      <xdr:row>2</xdr:row>
      <xdr:rowOff>133350</xdr:rowOff>
    </xdr:to>
    <xdr:pic>
      <xdr:nvPicPr>
        <xdr:cNvPr id="7" name="Picture 2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57875" y="95250"/>
          <a:ext cx="49911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31</xdr:row>
      <xdr:rowOff>9525</xdr:rowOff>
    </xdr:from>
    <xdr:to>
      <xdr:col>16</xdr:col>
      <xdr:colOff>476250</xdr:colOff>
      <xdr:row>33</xdr:row>
      <xdr:rowOff>28575</xdr:rowOff>
    </xdr:to>
    <xdr:sp>
      <xdr:nvSpPr>
        <xdr:cNvPr id="8" name="TextBox 37"/>
        <xdr:cNvSpPr txBox="1">
          <a:spLocks noChangeArrowheads="1"/>
        </xdr:cNvSpPr>
      </xdr:nvSpPr>
      <xdr:spPr>
        <a:xfrm>
          <a:off x="5753100" y="5457825"/>
          <a:ext cx="3924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0000"/>
              </a:solidFill>
            </a:rPr>
            <a:t>For Evaluation Purposes Only</a:t>
          </a:r>
        </a:p>
      </xdr:txBody>
    </xdr:sp>
    <xdr:clientData/>
  </xdr:twoCellAnchor>
  <xdr:twoCellAnchor editAs="oneCell">
    <xdr:from>
      <xdr:col>3</xdr:col>
      <xdr:colOff>38100</xdr:colOff>
      <xdr:row>0</xdr:row>
      <xdr:rowOff>114300</xdr:rowOff>
    </xdr:from>
    <xdr:to>
      <xdr:col>3</xdr:col>
      <xdr:colOff>847725</xdr:colOff>
      <xdr:row>5</xdr:row>
      <xdr:rowOff>57150</xdr:rowOff>
    </xdr:to>
    <xdr:pic>
      <xdr:nvPicPr>
        <xdr:cNvPr id="9" name="Cercap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200275" y="114300"/>
          <a:ext cx="8096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1</xdr:row>
      <xdr:rowOff>0</xdr:rowOff>
    </xdr:from>
    <xdr:to>
      <xdr:col>4</xdr:col>
      <xdr:colOff>133350</xdr:colOff>
      <xdr:row>5</xdr:row>
      <xdr:rowOff>28575</xdr:rowOff>
    </xdr:to>
    <xdr:pic>
      <xdr:nvPicPr>
        <xdr:cNvPr id="10" name="CRCW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238375" y="161925"/>
          <a:ext cx="904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0</xdr:row>
      <xdr:rowOff>142875</xdr:rowOff>
    </xdr:from>
    <xdr:to>
      <xdr:col>4</xdr:col>
      <xdr:colOff>76200</xdr:colOff>
      <xdr:row>5</xdr:row>
      <xdr:rowOff>47625</xdr:rowOff>
    </xdr:to>
    <xdr:pic>
      <xdr:nvPicPr>
        <xdr:cNvPr id="11" name="Tantal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00275" y="142875"/>
          <a:ext cx="8858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0</xdr:row>
      <xdr:rowOff>104775</xdr:rowOff>
    </xdr:from>
    <xdr:to>
      <xdr:col>4</xdr:col>
      <xdr:colOff>152400</xdr:colOff>
      <xdr:row>5</xdr:row>
      <xdr:rowOff>85725</xdr:rowOff>
    </xdr:to>
    <xdr:pic>
      <xdr:nvPicPr>
        <xdr:cNvPr id="12" name="MiniMelf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09800" y="104775"/>
          <a:ext cx="9525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0</xdr:row>
      <xdr:rowOff>114300</xdr:rowOff>
    </xdr:from>
    <xdr:to>
      <xdr:col>4</xdr:col>
      <xdr:colOff>285750</xdr:colOff>
      <xdr:row>5</xdr:row>
      <xdr:rowOff>38100</xdr:rowOff>
    </xdr:to>
    <xdr:pic>
      <xdr:nvPicPr>
        <xdr:cNvPr id="13" name="SOT563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171700" y="1143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</xdr:row>
      <xdr:rowOff>171450</xdr:rowOff>
    </xdr:from>
    <xdr:to>
      <xdr:col>4</xdr:col>
      <xdr:colOff>285750</xdr:colOff>
      <xdr:row>6</xdr:row>
      <xdr:rowOff>19050</xdr:rowOff>
    </xdr:to>
    <xdr:pic>
      <xdr:nvPicPr>
        <xdr:cNvPr id="14" name="Castellated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47900" y="333375"/>
          <a:ext cx="1047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0</xdr:row>
      <xdr:rowOff>123825</xdr:rowOff>
    </xdr:from>
    <xdr:to>
      <xdr:col>4</xdr:col>
      <xdr:colOff>57150</xdr:colOff>
      <xdr:row>5</xdr:row>
      <xdr:rowOff>57150</xdr:rowOff>
    </xdr:to>
    <xdr:pic>
      <xdr:nvPicPr>
        <xdr:cNvPr id="15" name="SO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19325" y="12382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76200</xdr:rowOff>
    </xdr:from>
    <xdr:to>
      <xdr:col>6</xdr:col>
      <xdr:colOff>904875</xdr:colOff>
      <xdr:row>6</xdr:row>
      <xdr:rowOff>104775</xdr:rowOff>
    </xdr:to>
    <xdr:pic>
      <xdr:nvPicPr>
        <xdr:cNvPr id="16" name="Gullwing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676650" y="76200"/>
          <a:ext cx="103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57150</xdr:rowOff>
    </xdr:from>
    <xdr:to>
      <xdr:col>5</xdr:col>
      <xdr:colOff>47625</xdr:colOff>
      <xdr:row>21</xdr:row>
      <xdr:rowOff>85725</xdr:rowOff>
    </xdr:to>
    <xdr:pic>
      <xdr:nvPicPr>
        <xdr:cNvPr id="17" name="Grafik 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114550" y="3114675"/>
          <a:ext cx="1552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U45"/>
  <sheetViews>
    <sheetView showGridLines="0" tabSelected="1" zoomScalePageLayoutView="0" workbookViewId="0" topLeftCell="A1">
      <selection activeCell="E28" sqref="E28"/>
    </sheetView>
  </sheetViews>
  <sheetFormatPr defaultColWidth="9.140625" defaultRowHeight="12.75"/>
  <cols>
    <col min="1" max="1" width="2.8515625" style="0" customWidth="1"/>
    <col min="2" max="2" width="27.57421875" style="0" customWidth="1"/>
    <col min="3" max="3" width="2.00390625" style="0" customWidth="1"/>
    <col min="4" max="4" width="12.7109375" style="0" customWidth="1"/>
    <col min="5" max="5" width="9.140625" style="1" customWidth="1"/>
    <col min="6" max="6" width="2.8515625" style="0" customWidth="1"/>
    <col min="7" max="7" width="14.28125" style="0" customWidth="1"/>
    <col min="8" max="8" width="9.00390625" style="0" customWidth="1"/>
    <col min="9" max="9" width="2.140625" style="0" customWidth="1"/>
    <col min="10" max="10" width="13.00390625" style="0" customWidth="1"/>
    <col min="11" max="11" width="9.140625" style="0" customWidth="1"/>
    <col min="12" max="12" width="2.8515625" style="0" customWidth="1"/>
    <col min="13" max="13" width="12.7109375" style="0" customWidth="1"/>
    <col min="14" max="14" width="9.140625" style="0" customWidth="1"/>
    <col min="15" max="15" width="2.140625" style="0" customWidth="1"/>
    <col min="16" max="16" width="6.421875" style="0" customWidth="1"/>
    <col min="17" max="17" width="7.421875" style="0" customWidth="1"/>
    <col min="18" max="18" width="3.57421875" style="0" customWidth="1"/>
    <col min="19" max="19" width="14.8515625" style="0" customWidth="1"/>
    <col min="20" max="20" width="9.8515625" style="0" customWidth="1"/>
  </cols>
  <sheetData>
    <row r="1" ht="12.75"/>
    <row r="2" spans="8:19" ht="13.5" customHeight="1" thickBot="1">
      <c r="H2" s="5"/>
      <c r="S2" s="1"/>
    </row>
    <row r="3" spans="2:19" s="48" customFormat="1" ht="12.75" customHeight="1" thickTop="1">
      <c r="B3" s="52" t="s">
        <v>71</v>
      </c>
      <c r="E3" s="49"/>
      <c r="H3" s="50"/>
      <c r="S3" s="49"/>
    </row>
    <row r="4" spans="2:19" s="48" customFormat="1" ht="12.75" customHeight="1">
      <c r="B4" s="96" t="s">
        <v>75</v>
      </c>
      <c r="E4" s="49"/>
      <c r="H4" s="50"/>
      <c r="S4" s="49"/>
    </row>
    <row r="5" spans="2:19" s="48" customFormat="1" ht="12.75" customHeight="1" thickBot="1">
      <c r="B5" s="97" t="s">
        <v>76</v>
      </c>
      <c r="E5" s="49"/>
      <c r="H5" s="50"/>
      <c r="S5" s="49"/>
    </row>
    <row r="6" spans="5:19" s="48" customFormat="1" ht="12.75" customHeight="1" thickBot="1" thickTop="1">
      <c r="E6" s="49"/>
      <c r="H6" s="50"/>
      <c r="S6" s="49"/>
    </row>
    <row r="7" spans="2:20" ht="14.25" thickBot="1" thickTop="1">
      <c r="B7" s="51" t="s">
        <v>51</v>
      </c>
      <c r="D7" s="103" t="s">
        <v>28</v>
      </c>
      <c r="E7" s="104"/>
      <c r="F7" s="10"/>
      <c r="G7" s="10"/>
      <c r="H7" s="10"/>
      <c r="J7" s="103" t="s">
        <v>24</v>
      </c>
      <c r="K7" s="105"/>
      <c r="P7" s="103" t="s">
        <v>25</v>
      </c>
      <c r="Q7" s="105"/>
      <c r="R7" s="2"/>
      <c r="S7" s="6"/>
      <c r="T7" s="13"/>
    </row>
    <row r="8" spans="2:20" ht="14.25" thickBot="1" thickTop="1">
      <c r="B8" s="51" t="s">
        <v>52</v>
      </c>
      <c r="D8" s="54" t="s">
        <v>35</v>
      </c>
      <c r="E8" s="9">
        <v>0.95</v>
      </c>
      <c r="F8" s="15"/>
      <c r="G8" s="54" t="s">
        <v>23</v>
      </c>
      <c r="H8" s="9">
        <v>0.2</v>
      </c>
      <c r="J8" s="26" t="s">
        <v>21</v>
      </c>
      <c r="K8" s="21">
        <f>K11-K12</f>
        <v>0.30000000000000004</v>
      </c>
      <c r="L8" s="36"/>
      <c r="M8" s="26" t="s">
        <v>5</v>
      </c>
      <c r="N8" s="27">
        <f>SQRT(E10^2+(2*H15)^2+(2*H16)^2)</f>
        <v>0.15000000000000008</v>
      </c>
      <c r="P8" s="58" t="s">
        <v>3</v>
      </c>
      <c r="Q8" s="59">
        <f>ROUND(((N9+N11)/2)*N15,0)/N15</f>
        <v>0.94</v>
      </c>
      <c r="R8" s="14"/>
      <c r="S8" s="20" t="s">
        <v>13</v>
      </c>
      <c r="T8" s="21">
        <f>T9+(N8/2)</f>
        <v>0.275</v>
      </c>
    </row>
    <row r="9" spans="2:20" ht="13.5" thickTop="1">
      <c r="B9" s="46"/>
      <c r="D9" s="55" t="s">
        <v>36</v>
      </c>
      <c r="E9" s="3">
        <v>1.05</v>
      </c>
      <c r="F9" s="17"/>
      <c r="G9" s="55" t="s">
        <v>0</v>
      </c>
      <c r="H9" s="3">
        <v>0</v>
      </c>
      <c r="J9" s="28" t="s">
        <v>44</v>
      </c>
      <c r="K9" s="23">
        <f>SQRT(E10^2+E13^2+E13^2)</f>
        <v>0.17320508075688776</v>
      </c>
      <c r="L9" s="15"/>
      <c r="M9" s="28" t="s">
        <v>6</v>
      </c>
      <c r="N9" s="29">
        <f>E8+(2*H8)+N8</f>
        <v>1.5000000000000002</v>
      </c>
      <c r="P9" s="60" t="s">
        <v>4</v>
      </c>
      <c r="Q9" s="61">
        <f>ROUND(((N9-N11)/2)*N16,0)/N16</f>
        <v>0.56</v>
      </c>
      <c r="R9" s="15"/>
      <c r="S9" s="22" t="s">
        <v>12</v>
      </c>
      <c r="T9" s="23">
        <f>((Q8+Q9)-(E8+N8))/2</f>
        <v>0.19999999999999996</v>
      </c>
    </row>
    <row r="10" spans="2:20" ht="13.5" thickBot="1">
      <c r="B10" s="46"/>
      <c r="D10" s="30" t="s">
        <v>37</v>
      </c>
      <c r="E10" s="25">
        <f>E9-E8</f>
        <v>0.10000000000000009</v>
      </c>
      <c r="F10" s="15"/>
      <c r="G10" s="56" t="s">
        <v>1</v>
      </c>
      <c r="H10" s="11">
        <v>0</v>
      </c>
      <c r="J10" s="28" t="s">
        <v>22</v>
      </c>
      <c r="K10" s="23">
        <f>K8-K9</f>
        <v>0.1267949192431123</v>
      </c>
      <c r="L10" s="15"/>
      <c r="M10" s="28" t="s">
        <v>7</v>
      </c>
      <c r="N10" s="29">
        <f>SQRT((K13-K14)^2+(2*H15)^2+(2*H16)^2)</f>
        <v>0.20615528128088303</v>
      </c>
      <c r="P10" s="62" t="s">
        <v>2</v>
      </c>
      <c r="Q10" s="63">
        <f>ROUND(N13*N16,0)/N16</f>
        <v>0.6</v>
      </c>
      <c r="R10" s="15"/>
      <c r="S10" s="64" t="s">
        <v>23</v>
      </c>
      <c r="T10" s="63">
        <f>H8</f>
        <v>0.2</v>
      </c>
    </row>
    <row r="11" spans="2:20" ht="14.25" thickBot="1" thickTop="1">
      <c r="B11" s="46"/>
      <c r="D11" s="54" t="s">
        <v>31</v>
      </c>
      <c r="E11" s="9">
        <v>0.2</v>
      </c>
      <c r="F11" s="15"/>
      <c r="G11" s="37"/>
      <c r="H11" s="38"/>
      <c r="J11" s="28" t="s">
        <v>10</v>
      </c>
      <c r="K11" s="23">
        <f>E9-(2*E11)</f>
        <v>0.65</v>
      </c>
      <c r="L11" s="15"/>
      <c r="M11" s="28" t="s">
        <v>8</v>
      </c>
      <c r="N11" s="29">
        <f>K13-(2*H9)-N10</f>
        <v>0.38044725909756083</v>
      </c>
      <c r="P11" s="16"/>
      <c r="Q11" s="17"/>
      <c r="R11" s="15"/>
      <c r="S11" s="20" t="s">
        <v>15</v>
      </c>
      <c r="T11" s="21">
        <f>T12+(N10/2)</f>
        <v>0.10307764064044152</v>
      </c>
    </row>
    <row r="12" spans="2:20" ht="13.5" thickTop="1">
      <c r="B12" s="46"/>
      <c r="D12" s="55" t="s">
        <v>32</v>
      </c>
      <c r="E12" s="3">
        <v>0.3</v>
      </c>
      <c r="F12" s="17"/>
      <c r="G12" s="54" t="s">
        <v>26</v>
      </c>
      <c r="H12" s="12">
        <v>0.02</v>
      </c>
      <c r="J12" s="28" t="s">
        <v>11</v>
      </c>
      <c r="K12" s="23">
        <f>E8-(2*E12)</f>
        <v>0.35</v>
      </c>
      <c r="L12" s="15"/>
      <c r="M12" s="28" t="s">
        <v>9</v>
      </c>
      <c r="N12" s="29">
        <f>SQRT(E16^2+(2*H15)^2+(2*H16)^2)</f>
        <v>0.15000000000000005</v>
      </c>
      <c r="P12" s="16"/>
      <c r="Q12" s="15"/>
      <c r="R12" s="15"/>
      <c r="S12" s="22" t="s">
        <v>14</v>
      </c>
      <c r="T12" s="23">
        <f>((K13-N10)-N11)/2</f>
        <v>0</v>
      </c>
    </row>
    <row r="13" spans="2:20" ht="13.5" thickBot="1">
      <c r="B13" s="46"/>
      <c r="D13" s="24" t="s">
        <v>29</v>
      </c>
      <c r="E13" s="25">
        <f>E12-E11</f>
        <v>0.09999999999999998</v>
      </c>
      <c r="F13" s="15"/>
      <c r="G13" s="56" t="s">
        <v>27</v>
      </c>
      <c r="H13" s="4">
        <v>0.01</v>
      </c>
      <c r="J13" s="28" t="s">
        <v>18</v>
      </c>
      <c r="K13" s="23">
        <f>K11-(K10/2)</f>
        <v>0.5866025403784438</v>
      </c>
      <c r="L13" s="15"/>
      <c r="M13" s="30" t="s">
        <v>20</v>
      </c>
      <c r="N13" s="31">
        <f>E14+(2*H10)+N12</f>
        <v>0.6000000000000001</v>
      </c>
      <c r="P13" s="16"/>
      <c r="Q13" s="17"/>
      <c r="R13" s="17"/>
      <c r="S13" s="64" t="s">
        <v>0</v>
      </c>
      <c r="T13" s="63">
        <f>H9</f>
        <v>0</v>
      </c>
    </row>
    <row r="14" spans="2:20" ht="14.25" thickBot="1" thickTop="1">
      <c r="B14" s="51" t="s">
        <v>58</v>
      </c>
      <c r="D14" s="54" t="s">
        <v>33</v>
      </c>
      <c r="E14" s="9">
        <v>0.45</v>
      </c>
      <c r="F14" s="15"/>
      <c r="G14" s="36"/>
      <c r="H14" s="41"/>
      <c r="J14" s="30" t="s">
        <v>19</v>
      </c>
      <c r="K14" s="32">
        <f>K12+(K10/2)</f>
        <v>0.4133974596215561</v>
      </c>
      <c r="L14" s="15"/>
      <c r="M14" s="37"/>
      <c r="N14" s="38"/>
      <c r="P14" s="16"/>
      <c r="Q14" s="17"/>
      <c r="R14" s="17"/>
      <c r="S14" s="20" t="s">
        <v>17</v>
      </c>
      <c r="T14" s="21">
        <f>T15+(N12/2)</f>
        <v>0.07499999999999997</v>
      </c>
    </row>
    <row r="15" spans="2:20" ht="13.5" thickTop="1">
      <c r="B15" s="46"/>
      <c r="D15" s="55" t="s">
        <v>34</v>
      </c>
      <c r="E15" s="3">
        <v>0.55</v>
      </c>
      <c r="F15" s="15"/>
      <c r="G15" s="99" t="s">
        <v>72</v>
      </c>
      <c r="H15" s="100">
        <v>0.05</v>
      </c>
      <c r="J15" s="16"/>
      <c r="K15" s="106" t="s">
        <v>42</v>
      </c>
      <c r="L15" s="107"/>
      <c r="M15" s="108"/>
      <c r="N15" s="33">
        <f>1/H12</f>
        <v>50</v>
      </c>
      <c r="P15" s="16"/>
      <c r="Q15" s="17"/>
      <c r="R15" s="17"/>
      <c r="S15" s="22" t="s">
        <v>16</v>
      </c>
      <c r="T15" s="23">
        <f>(Q10-(E14+N12))/2</f>
        <v>-5.551115123125783E-17</v>
      </c>
    </row>
    <row r="16" spans="2:20" ht="13.5" thickBot="1">
      <c r="B16" s="53"/>
      <c r="D16" s="24" t="s">
        <v>30</v>
      </c>
      <c r="E16" s="25">
        <f>E15-E14</f>
        <v>0.10000000000000003</v>
      </c>
      <c r="F16" s="18"/>
      <c r="G16" s="101" t="s">
        <v>73</v>
      </c>
      <c r="H16" s="102">
        <v>0.025</v>
      </c>
      <c r="J16" s="39"/>
      <c r="K16" s="109" t="s">
        <v>43</v>
      </c>
      <c r="L16" s="110"/>
      <c r="M16" s="111"/>
      <c r="N16" s="34">
        <f>1/H13</f>
        <v>100</v>
      </c>
      <c r="P16" s="18"/>
      <c r="Q16" s="19"/>
      <c r="R16" s="35"/>
      <c r="S16" s="64" t="s">
        <v>1</v>
      </c>
      <c r="T16" s="63">
        <f>H10</f>
        <v>0</v>
      </c>
    </row>
    <row r="17" spans="2:19" s="48" customFormat="1" ht="12.75" customHeight="1" thickTop="1">
      <c r="B17" s="53"/>
      <c r="E17" s="49"/>
      <c r="H17" s="50"/>
      <c r="S17" s="49"/>
    </row>
    <row r="18" spans="2:19" s="48" customFormat="1" ht="12.75" customHeight="1">
      <c r="B18" s="53"/>
      <c r="E18" s="49"/>
      <c r="H18" s="50"/>
      <c r="S18" s="49"/>
    </row>
    <row r="19" spans="2:19" s="48" customFormat="1" ht="12.75" customHeight="1">
      <c r="B19" s="53"/>
      <c r="E19" s="49"/>
      <c r="H19" s="50"/>
      <c r="S19" s="49"/>
    </row>
    <row r="20" spans="2:19" s="48" customFormat="1" ht="12.75" customHeight="1">
      <c r="B20" s="53"/>
      <c r="E20" s="49"/>
      <c r="H20" s="50"/>
      <c r="S20" s="49"/>
    </row>
    <row r="21" spans="2:19" s="48" customFormat="1" ht="12.75" customHeight="1">
      <c r="B21" s="46"/>
      <c r="E21" s="49"/>
      <c r="H21" s="50"/>
      <c r="S21" s="49"/>
    </row>
    <row r="22" ht="12.75">
      <c r="B22" s="46"/>
    </row>
    <row r="23" ht="13.5" thickBot="1">
      <c r="B23" s="46"/>
    </row>
    <row r="24" spans="2:20" ht="14.25" thickBot="1" thickTop="1">
      <c r="B24" s="46"/>
      <c r="D24" s="103" t="s">
        <v>28</v>
      </c>
      <c r="E24" s="118"/>
      <c r="F24" s="2"/>
      <c r="G24" s="116" t="s">
        <v>61</v>
      </c>
      <c r="H24" s="117"/>
      <c r="J24" s="103" t="s">
        <v>24</v>
      </c>
      <c r="K24" s="105"/>
      <c r="P24" s="103" t="s">
        <v>25</v>
      </c>
      <c r="Q24" s="118"/>
      <c r="R24" s="2"/>
      <c r="S24" s="103" t="s">
        <v>60</v>
      </c>
      <c r="T24" s="104"/>
    </row>
    <row r="25" spans="2:21" ht="16.5" thickBot="1" thickTop="1">
      <c r="B25" s="95" t="s">
        <v>65</v>
      </c>
      <c r="D25" s="26" t="s">
        <v>48</v>
      </c>
      <c r="E25" s="42">
        <f>(E8+E9)/2</f>
        <v>1</v>
      </c>
      <c r="F25" s="83"/>
      <c r="G25" s="75" t="s">
        <v>38</v>
      </c>
      <c r="H25" s="43">
        <v>40</v>
      </c>
      <c r="J25" s="26" t="s">
        <v>56</v>
      </c>
      <c r="K25" s="27">
        <f>E25+(2*T27)</f>
        <v>1.28</v>
      </c>
      <c r="L25" s="2"/>
      <c r="M25" s="2"/>
      <c r="N25" s="2"/>
      <c r="P25" s="58" t="s">
        <v>3</v>
      </c>
      <c r="Q25" s="78">
        <f>ROUND((E25+(2*T27)-Q27)*N15,0)/N15</f>
        <v>0.88</v>
      </c>
      <c r="R25" s="82"/>
      <c r="S25" s="20" t="s">
        <v>13</v>
      </c>
      <c r="T25" s="91">
        <f>T26+(N8/2)</f>
        <v>0.17</v>
      </c>
      <c r="U25" t="s">
        <v>54</v>
      </c>
    </row>
    <row r="26" spans="2:21" ht="15.75" thickTop="1">
      <c r="B26" s="14"/>
      <c r="D26" s="28" t="s">
        <v>49</v>
      </c>
      <c r="E26" s="88">
        <f>(E11+E12)/2</f>
        <v>0.25</v>
      </c>
      <c r="F26" s="57"/>
      <c r="G26" s="76" t="s">
        <v>39</v>
      </c>
      <c r="H26" s="44">
        <v>5</v>
      </c>
      <c r="J26" s="28" t="s">
        <v>57</v>
      </c>
      <c r="K26" s="29">
        <f>K25-2*Q27</f>
        <v>0.4600000000000001</v>
      </c>
      <c r="L26" s="2"/>
      <c r="M26" s="2"/>
      <c r="N26" s="2"/>
      <c r="P26" s="60" t="s">
        <v>55</v>
      </c>
      <c r="Q26" s="79">
        <f>Q25/2</f>
        <v>0.44</v>
      </c>
      <c r="R26" s="82"/>
      <c r="S26" s="22" t="s">
        <v>12</v>
      </c>
      <c r="T26" s="92">
        <f>((Q25+Q27)-(E8+N8))/2</f>
        <v>0.09499999999999997</v>
      </c>
      <c r="U26" s="67" t="s">
        <v>53</v>
      </c>
    </row>
    <row r="27" spans="2:21" ht="13.5" thickBot="1">
      <c r="B27" s="47"/>
      <c r="D27" s="28" t="s">
        <v>50</v>
      </c>
      <c r="E27" s="88">
        <f>(E14+E15)/2</f>
        <v>0.5</v>
      </c>
      <c r="F27" s="2"/>
      <c r="G27" s="77" t="s">
        <v>40</v>
      </c>
      <c r="H27" s="45">
        <v>5</v>
      </c>
      <c r="J27" s="30" t="s">
        <v>2</v>
      </c>
      <c r="K27" s="31">
        <f>E27+(2*T33)</f>
        <v>0.535</v>
      </c>
      <c r="L27" s="2"/>
      <c r="M27" s="2"/>
      <c r="N27" s="2"/>
      <c r="P27" s="60" t="s">
        <v>4</v>
      </c>
      <c r="Q27" s="79">
        <f>ROUND((E26+T27+T30)*N16,0)/N16</f>
        <v>0.41</v>
      </c>
      <c r="R27" s="82"/>
      <c r="S27" s="65" t="s">
        <v>45</v>
      </c>
      <c r="T27" s="66">
        <f>IF((0.01*H25)*VALUE(SUBSTITUTE(E28,".",","))&gt;0.5,0.5,(0.01*H25)*VALUE(SUBSTITUTE(E28,".",",")))</f>
        <v>0.13999999999999999</v>
      </c>
      <c r="U27" s="72" t="s">
        <v>70</v>
      </c>
    </row>
    <row r="28" spans="2:20" ht="16.5" thickBot="1" thickTop="1">
      <c r="B28" s="95" t="s">
        <v>66</v>
      </c>
      <c r="D28" s="28" t="s">
        <v>62</v>
      </c>
      <c r="E28" s="3">
        <v>0.35</v>
      </c>
      <c r="F28" s="87"/>
      <c r="G28" s="69"/>
      <c r="H28" s="69"/>
      <c r="I28" s="2"/>
      <c r="J28" s="73"/>
      <c r="K28" s="74"/>
      <c r="L28" s="68"/>
      <c r="M28" s="6"/>
      <c r="N28" s="68"/>
      <c r="P28" s="62" t="s">
        <v>2</v>
      </c>
      <c r="Q28" s="80">
        <f>IF(E29&gt;0,IF(ROUND((E27+(2*T33))*N16,0)/N16&lt;=E29/2,E29/2,ROUND((E27+(2*T33))*N16,0)/N16),ROUND((E27+(2*T33))*N16,0)/N16)</f>
        <v>0.54</v>
      </c>
      <c r="R28" s="82"/>
      <c r="S28" s="20" t="s">
        <v>15</v>
      </c>
      <c r="T28" s="91">
        <f>T29+(N10/2)</f>
        <v>0.0633012701892219</v>
      </c>
    </row>
    <row r="29" spans="2:20" ht="16.5" thickBot="1" thickTop="1">
      <c r="B29" s="14"/>
      <c r="D29" s="90" t="s">
        <v>64</v>
      </c>
      <c r="E29" s="89">
        <v>0</v>
      </c>
      <c r="F29" s="70"/>
      <c r="G29" s="84"/>
      <c r="H29" s="85"/>
      <c r="I29" s="57"/>
      <c r="J29" s="6"/>
      <c r="K29" s="8"/>
      <c r="L29" s="68"/>
      <c r="M29" s="6"/>
      <c r="N29" s="68"/>
      <c r="P29" s="81"/>
      <c r="Q29" s="81"/>
      <c r="R29" s="83"/>
      <c r="S29" s="22" t="s">
        <v>14</v>
      </c>
      <c r="T29" s="92">
        <f>((K13-N10)-K26)/2</f>
        <v>-0.03977637045121962</v>
      </c>
    </row>
    <row r="30" spans="2:20" ht="14.25" thickBot="1" thickTop="1">
      <c r="B30" s="47"/>
      <c r="D30" s="112" t="s">
        <v>63</v>
      </c>
      <c r="E30" s="113"/>
      <c r="F30" s="86"/>
      <c r="G30" s="114" t="s">
        <v>59</v>
      </c>
      <c r="H30" s="115"/>
      <c r="I30" s="57"/>
      <c r="J30" s="6"/>
      <c r="K30" s="8"/>
      <c r="L30" s="68"/>
      <c r="M30" s="6"/>
      <c r="N30" s="68"/>
      <c r="P30" s="119" t="s">
        <v>69</v>
      </c>
      <c r="Q30" s="120"/>
      <c r="R30" s="83"/>
      <c r="S30" s="65" t="s">
        <v>46</v>
      </c>
      <c r="T30" s="66">
        <f>(0.01*H26)*VALUE(SUBSTITUTE(E28,".",","))</f>
        <v>0.017499999999999998</v>
      </c>
    </row>
    <row r="31" spans="2:20" ht="16.5" thickBot="1" thickTop="1">
      <c r="B31" s="95" t="s">
        <v>67</v>
      </c>
      <c r="D31" s="113"/>
      <c r="E31" s="113"/>
      <c r="F31" s="13"/>
      <c r="G31" s="115"/>
      <c r="H31" s="115"/>
      <c r="I31" s="57"/>
      <c r="J31" s="6"/>
      <c r="K31" s="8"/>
      <c r="L31" s="68"/>
      <c r="M31" s="6"/>
      <c r="N31" s="68"/>
      <c r="P31" s="120"/>
      <c r="Q31" s="120"/>
      <c r="R31" s="83"/>
      <c r="S31" s="26" t="s">
        <v>17</v>
      </c>
      <c r="T31" s="93">
        <f>T32+(N12/2)</f>
        <v>0.045</v>
      </c>
    </row>
    <row r="32" spans="2:20" ht="15.75" thickTop="1">
      <c r="B32" s="14"/>
      <c r="D32" s="2"/>
      <c r="E32" s="71"/>
      <c r="F32" s="68"/>
      <c r="G32" s="72"/>
      <c r="H32" s="68"/>
      <c r="I32" s="57"/>
      <c r="J32" s="2"/>
      <c r="K32" s="6"/>
      <c r="L32" s="68"/>
      <c r="M32" s="68"/>
      <c r="N32" s="13"/>
      <c r="P32" s="2"/>
      <c r="Q32" s="2"/>
      <c r="R32" s="83"/>
      <c r="S32" s="28" t="s">
        <v>16</v>
      </c>
      <c r="T32" s="98">
        <f>(Q28-(E14+N12))/2</f>
        <v>-0.030000000000000027</v>
      </c>
    </row>
    <row r="33" spans="2:20" ht="13.5" thickBot="1">
      <c r="B33" s="47"/>
      <c r="D33" s="2"/>
      <c r="E33" s="71"/>
      <c r="F33" s="68"/>
      <c r="G33" s="68"/>
      <c r="H33" s="68"/>
      <c r="I33" s="57"/>
      <c r="J33" s="6"/>
      <c r="K33" s="6"/>
      <c r="L33" s="68"/>
      <c r="M33" s="68"/>
      <c r="N33" s="13"/>
      <c r="P33" s="2"/>
      <c r="Q33" s="2"/>
      <c r="R33" s="83"/>
      <c r="S33" s="65" t="s">
        <v>47</v>
      </c>
      <c r="T33" s="94">
        <f>(0.01*H27)*VALUE(SUBSTITUTE(E28,".",","))</f>
        <v>0.017499999999999998</v>
      </c>
    </row>
    <row r="34" spans="2:10" ht="14.25" thickBot="1" thickTop="1">
      <c r="B34" s="95" t="s">
        <v>68</v>
      </c>
      <c r="F34" s="57"/>
      <c r="G34" s="57"/>
      <c r="H34" s="57"/>
      <c r="I34" s="57"/>
      <c r="J34" s="57"/>
    </row>
    <row r="35" ht="13.5" thickTop="1">
      <c r="B35" s="14"/>
    </row>
    <row r="36" spans="2:21" ht="13.5" thickBot="1">
      <c r="B36" s="47"/>
      <c r="U36" s="7"/>
    </row>
    <row r="37" ht="13.5" thickTop="1">
      <c r="B37" s="2"/>
    </row>
    <row r="38" spans="4:5" ht="12.75">
      <c r="D38" s="6"/>
      <c r="E38" s="8"/>
    </row>
    <row r="39" spans="2:5" ht="12.75">
      <c r="B39" s="40" t="s">
        <v>74</v>
      </c>
      <c r="D39" s="6"/>
      <c r="E39" s="8"/>
    </row>
    <row r="40" spans="2:8" ht="12.75">
      <c r="B40" s="40" t="s">
        <v>41</v>
      </c>
      <c r="D40" s="6"/>
      <c r="E40" s="8"/>
      <c r="H40" s="57"/>
    </row>
    <row r="41" spans="2:7" ht="12.75">
      <c r="B41" s="72" t="s">
        <v>77</v>
      </c>
      <c r="G41" s="72"/>
    </row>
    <row r="43" spans="6:8" ht="12.75">
      <c r="F43" s="2"/>
      <c r="G43" s="6"/>
      <c r="H43" s="13"/>
    </row>
    <row r="44" spans="6:8" ht="12.75">
      <c r="F44" s="2"/>
      <c r="G44" s="6"/>
      <c r="H44" s="13"/>
    </row>
    <row r="45" spans="6:8" ht="12.75">
      <c r="F45" s="2"/>
      <c r="G45" s="6"/>
      <c r="H45" s="13"/>
    </row>
  </sheetData>
  <sheetProtection password="A5BE" sheet="1" objects="1" scenarios="1" selectLockedCells="1"/>
  <mergeCells count="13">
    <mergeCell ref="D24:E24"/>
    <mergeCell ref="S24:T24"/>
    <mergeCell ref="P30:Q31"/>
    <mergeCell ref="D7:E7"/>
    <mergeCell ref="J7:K7"/>
    <mergeCell ref="P7:Q7"/>
    <mergeCell ref="K15:M15"/>
    <mergeCell ref="K16:M16"/>
    <mergeCell ref="D30:E31"/>
    <mergeCell ref="G30:H31"/>
    <mergeCell ref="G24:H24"/>
    <mergeCell ref="P24:Q24"/>
    <mergeCell ref="J24:K24"/>
  </mergeCells>
  <conditionalFormatting sqref="T29">
    <cfRule type="cellIs" priority="6" dxfId="0" operator="lessThan" stopIfTrue="1">
      <formula>0</formula>
    </cfRule>
  </conditionalFormatting>
  <conditionalFormatting sqref="T26">
    <cfRule type="cellIs" priority="5" dxfId="0" operator="lessThan" stopIfTrue="1">
      <formula>0</formula>
    </cfRule>
  </conditionalFormatting>
  <conditionalFormatting sqref="T25">
    <cfRule type="colorScale" priority="4" dxfId="3">
      <colorScale>
        <cfvo type="num" val="&quot;&gt;=0&quot;"/>
        <cfvo type="max"/>
        <color rgb="FFCCFFCC"/>
        <color rgb="FFFFEF9C"/>
      </colorScale>
    </cfRule>
  </conditionalFormatting>
  <conditionalFormatting sqref="T32">
    <cfRule type="cellIs" priority="2" dxfId="0" operator="lessThan" stopIfTrue="1">
      <formula>0</formula>
    </cfRule>
    <cfRule type="colorScale" priority="1" dxfId="3">
      <colorScale>
        <cfvo type="num" val="&quot;&gt;=0&quot;"/>
        <cfvo type="max"/>
        <color rgb="FFCCFFCC"/>
        <color rgb="FFFFEF9C"/>
      </colorScale>
    </cfRule>
  </conditionalFormatting>
  <dataValidations count="1">
    <dataValidation type="list" allowBlank="1" showInputMessage="1" sqref="E28">
      <formula1>"0.15, 0.20, 0.30, 0.40"</formula1>
    </dataValidation>
  </dataValidations>
  <printOptions/>
  <pageMargins left="0.75" right="0.75" top="1" bottom="1" header="0.5" footer="0.5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Rainer Taube</cp:lastModifiedBy>
  <dcterms:created xsi:type="dcterms:W3CDTF">2005-10-25T17:10:19Z</dcterms:created>
  <dcterms:modified xsi:type="dcterms:W3CDTF">2018-06-29T09:57:26Z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